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1- Excel-neu\"/>
    </mc:Choice>
  </mc:AlternateContent>
  <xr:revisionPtr revIDLastSave="0" documentId="13_ncr:1_{BA862597-73B8-4A76-8294-4CDFF6807220}" xr6:coauthVersionLast="47" xr6:coauthVersionMax="47" xr10:uidLastSave="{00000000-0000-0000-0000-000000000000}"/>
  <bookViews>
    <workbookView xWindow="6360" yWindow="5535" windowWidth="28800" windowHeight="15345" xr2:uid="{00000000-000D-0000-FFFF-FFFF00000000}"/>
  </bookViews>
  <sheets>
    <sheet name="Fax" sheetId="1" r:id="rId1"/>
    <sheet name="Telefon" sheetId="2" r:id="rId2"/>
    <sheet name="Nudeln" sheetId="3" r:id="rId3"/>
    <sheet name="Mittelwert" sheetId="4" r:id="rId4"/>
  </sheets>
  <definedNames>
    <definedName name="Betrieb_Ost">Mittelwert!$C$10:$C$30</definedName>
    <definedName name="Betrieb_West">Mittelwert!$B$10:$B$30</definedName>
    <definedName name="Bruttogehalt">Mittelwert!$A$10:$A$30</definedName>
    <definedName name="Einkauf_Summe">Nudeln!$E$6:$E$11</definedName>
    <definedName name="EKPR_je_St">Nudeln!$C$6:$C$11</definedName>
    <definedName name="Handelsspanne">Nudeln!$H$6:$H$11</definedName>
    <definedName name="Lohnsumme__Ost">Mittelwert!$E$10:$E$30</definedName>
    <definedName name="Lohnsumme_West">Mittelwert!$D$10:$D$29</definedName>
    <definedName name="Menge">Nudeln!$B$6:$B$11</definedName>
    <definedName name="Rohgewinn">Nudeln!$G$6:$G$11</definedName>
    <definedName name="Verkauf_Summe">Nudeln!$F$6:$F$11</definedName>
    <definedName name="VKPR_je_St">Nudeln!$D$6:$D$11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 i="3" l="1"/>
  <c r="H13" i="3" s="1"/>
  <c r="H7" i="3"/>
  <c r="H8" i="3"/>
  <c r="H9" i="3"/>
  <c r="H10" i="3"/>
  <c r="H11" i="3"/>
  <c r="F6" i="3"/>
  <c r="G6" i="3" s="1"/>
  <c r="E6" i="3"/>
  <c r="F7" i="3"/>
  <c r="E7" i="3"/>
  <c r="G7" i="3"/>
  <c r="F8" i="3"/>
  <c r="G8" i="3" s="1"/>
  <c r="E8" i="3"/>
  <c r="E15" i="3" s="1"/>
  <c r="F9" i="3"/>
  <c r="E9" i="3"/>
  <c r="G9" i="3"/>
  <c r="F10" i="3"/>
  <c r="E10" i="3"/>
  <c r="G10" i="3"/>
  <c r="F11" i="3"/>
  <c r="G11" i="3" s="1"/>
  <c r="E11" i="3"/>
  <c r="F13" i="3"/>
  <c r="D15" i="3"/>
  <c r="D14" i="3"/>
  <c r="D13" i="3"/>
  <c r="C15" i="3"/>
  <c r="C14" i="3"/>
  <c r="C13" i="3"/>
  <c r="B14" i="3"/>
  <c r="B13" i="3"/>
  <c r="B15" i="3"/>
  <c r="D10" i="4"/>
  <c r="D31" i="4" s="1"/>
  <c r="G31" i="4" s="1"/>
  <c r="G32" i="4" s="1"/>
  <c r="D11" i="4"/>
  <c r="D12" i="4"/>
  <c r="D13" i="4"/>
  <c r="D14" i="4"/>
  <c r="D15" i="4"/>
  <c r="D16" i="4"/>
  <c r="D17" i="4"/>
  <c r="D18" i="4"/>
  <c r="D19" i="4"/>
  <c r="D20" i="4"/>
  <c r="D21" i="4"/>
  <c r="D22" i="4"/>
  <c r="D23" i="4"/>
  <c r="D24" i="4"/>
  <c r="D25" i="4"/>
  <c r="D26" i="4"/>
  <c r="D27" i="4"/>
  <c r="D28" i="4"/>
  <c r="D29" i="4"/>
  <c r="D30" i="4"/>
  <c r="E10" i="4"/>
  <c r="E11" i="4"/>
  <c r="E31" i="4" s="1"/>
  <c r="E12" i="4"/>
  <c r="E13" i="4"/>
  <c r="E14" i="4"/>
  <c r="E15" i="4"/>
  <c r="E16" i="4"/>
  <c r="E17" i="4"/>
  <c r="E18" i="4"/>
  <c r="E19" i="4"/>
  <c r="E20" i="4"/>
  <c r="E21" i="4"/>
  <c r="E22" i="4"/>
  <c r="E23" i="4"/>
  <c r="E24" i="4"/>
  <c r="E25" i="4"/>
  <c r="E26" i="4"/>
  <c r="E27" i="4"/>
  <c r="E28" i="4"/>
  <c r="E29" i="4"/>
  <c r="E30" i="4"/>
  <c r="C18" i="2"/>
  <c r="C19" i="2"/>
  <c r="B19" i="2"/>
  <c r="B18" i="2"/>
  <c r="F12" i="2"/>
  <c r="F13" i="2"/>
  <c r="B4" i="2"/>
  <c r="C4" i="2"/>
  <c r="E6" i="2"/>
  <c r="E9" i="2"/>
  <c r="E10" i="2"/>
  <c r="E11" i="2"/>
  <c r="E13" i="2"/>
  <c r="E14" i="2"/>
  <c r="E5" i="2"/>
  <c r="E18" i="2" s="1"/>
  <c r="C17" i="2"/>
  <c r="F6" i="2" s="1"/>
  <c r="B17" i="2"/>
  <c r="D6" i="2"/>
  <c r="D7" i="2"/>
  <c r="E7" i="2" s="1"/>
  <c r="D8" i="2"/>
  <c r="E8" i="2" s="1"/>
  <c r="D9" i="2"/>
  <c r="D10" i="2"/>
  <c r="D11" i="2"/>
  <c r="D12" i="2"/>
  <c r="E12" i="2" s="1"/>
  <c r="D13" i="2"/>
  <c r="D14" i="2"/>
  <c r="D15" i="2"/>
  <c r="E15" i="2" s="1"/>
  <c r="D16" i="2"/>
  <c r="E16" i="2" s="1"/>
  <c r="D5" i="2"/>
  <c r="D19" i="2" s="1"/>
  <c r="C28" i="1"/>
  <c r="D28" i="1"/>
  <c r="E28" i="1"/>
  <c r="C27" i="1"/>
  <c r="D27" i="1"/>
  <c r="E27" i="1"/>
  <c r="C26" i="1"/>
  <c r="D26" i="1"/>
  <c r="E26" i="1"/>
  <c r="C25" i="1"/>
  <c r="D25" i="1"/>
  <c r="E25" i="1"/>
  <c r="F14" i="1"/>
  <c r="F15" i="1"/>
  <c r="F16" i="1"/>
  <c r="F17" i="1"/>
  <c r="F22" i="1"/>
  <c r="F23" i="1"/>
  <c r="F24" i="1"/>
  <c r="F13" i="1"/>
  <c r="B14" i="1"/>
  <c r="B15" i="1"/>
  <c r="B16" i="1"/>
  <c r="B17" i="1"/>
  <c r="B18" i="1"/>
  <c r="F18" i="1" s="1"/>
  <c r="B19" i="1"/>
  <c r="F19" i="1" s="1"/>
  <c r="B20" i="1"/>
  <c r="F20" i="1" s="1"/>
  <c r="B21" i="1"/>
  <c r="B22" i="1"/>
  <c r="B23" i="1"/>
  <c r="B24" i="1"/>
  <c r="B13" i="1"/>
  <c r="B27" i="1" s="1"/>
  <c r="A13" i="1"/>
  <c r="A14" i="1" s="1"/>
  <c r="A15" i="1" s="1"/>
  <c r="A16" i="1" s="1"/>
  <c r="A17" i="1" s="1"/>
  <c r="A18" i="1" s="1"/>
  <c r="A19" i="1" s="1"/>
  <c r="A20" i="1" s="1"/>
  <c r="A21" i="1" s="1"/>
  <c r="A22" i="1" s="1"/>
  <c r="A23" i="1" s="1"/>
  <c r="A24" i="1" s="1"/>
  <c r="G15" i="3" l="1"/>
  <c r="G14" i="3"/>
  <c r="G13" i="3"/>
  <c r="F27" i="1"/>
  <c r="D17" i="2"/>
  <c r="E12" i="3"/>
  <c r="F14" i="3"/>
  <c r="H14" i="3"/>
  <c r="D18" i="2"/>
  <c r="B28" i="1"/>
  <c r="F5" i="2"/>
  <c r="F11" i="2"/>
  <c r="E33" i="4"/>
  <c r="G12" i="3"/>
  <c r="F15" i="3"/>
  <c r="H15" i="3"/>
  <c r="F10" i="2"/>
  <c r="E19" i="2"/>
  <c r="F12" i="3"/>
  <c r="F9" i="2"/>
  <c r="B25" i="1"/>
  <c r="B26" i="1" s="1"/>
  <c r="F16" i="2"/>
  <c r="F8" i="2"/>
  <c r="E13" i="3"/>
  <c r="F21" i="1"/>
  <c r="F28" i="1" s="1"/>
  <c r="F26" i="1"/>
  <c r="F15" i="2"/>
  <c r="F7" i="2"/>
  <c r="E14" i="3"/>
  <c r="F14" i="2"/>
  <c r="F18" i="2" l="1"/>
  <c r="F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author>
    <author>Seel</author>
  </authors>
  <commentList>
    <comment ref="A8" authorId="0" shapeId="0" xr:uid="{00000000-0006-0000-0000-000001000000}">
      <text>
        <r>
          <rPr>
            <b/>
            <sz val="8"/>
            <color indexed="81"/>
            <rFont val="Tahoma"/>
          </rPr>
          <t>Die Funktion Summe hat folgenden Aufbau: 
=Summe(Zahl1;Zahl2; …...)         bei Zahl kann ein Bereich eingegeben werden z. B. B2:B10
Die Funktion Minimum hat folgenden Aufbau: 
=Min(Zahl1;Zahl2; …...)
Die Funktion Maximum hat folgenden Aufbau: 
=Max(Zahl1;Zahl2; …...)
Die Funktion Mittelwert hat folgenden Aufbau: 
=Mittelwert(Wert1;Wert2; …...)</t>
        </r>
      </text>
    </comment>
    <comment ref="A31" authorId="1" shapeId="0" xr:uid="{00000000-0006-0000-0000-000002000000}">
      <text>
        <r>
          <rPr>
            <b/>
            <sz val="8"/>
            <color indexed="81"/>
            <rFont val="Tahoma"/>
          </rPr>
          <t xml:space="preserve">Arbeitsauftrag:
</t>
        </r>
        <r>
          <rPr>
            <sz val="8"/>
            <color indexed="81"/>
            <rFont val="Tahoma"/>
          </rPr>
          <t xml:space="preserve">
1. Berechnen Sie die Summe der insgesamt verschickten Nachrichten (Sendungen) je Jahr in der dafür vorgesehenen Spalte.
2. Berechnen Sie je Jahr in der vorgesehenen Spalte die Prozentanteile der versendeten E-Mails von von den insgesamt versendeten Nachrichten mit zwei Nachkommastellen.
3. Berechnen Sie in einer neuen Zeile die Summe der Sendungen für Brief, Telefax und e-mail und benennnen Sie die Zeile.
4. Berechnen Sie in einer neuen Zeile die </t>
        </r>
        <r>
          <rPr>
            <b/>
            <sz val="8"/>
            <color indexed="81"/>
            <rFont val="Tahoma"/>
            <family val="2"/>
          </rPr>
          <t>minimalen</t>
        </r>
        <r>
          <rPr>
            <sz val="8"/>
            <color indexed="81"/>
            <rFont val="Tahoma"/>
          </rPr>
          <t xml:space="preserve"> Werte für jede Spalte.
5. Berechnen Sie in einer neuen Zeile die </t>
        </r>
        <r>
          <rPr>
            <b/>
            <sz val="8"/>
            <color indexed="81"/>
            <rFont val="Tahoma"/>
            <family val="2"/>
          </rPr>
          <t>maximalen</t>
        </r>
        <r>
          <rPr>
            <sz val="8"/>
            <color indexed="81"/>
            <rFont val="Tahoma"/>
          </rPr>
          <t xml:space="preserve"> Werte für jede Spalte.
6. Berechnen Sie in einer neuen Zeile die </t>
        </r>
        <r>
          <rPr>
            <b/>
            <sz val="8"/>
            <color indexed="81"/>
            <rFont val="Tahoma"/>
            <family val="2"/>
          </rPr>
          <t>durchschnittlichen</t>
        </r>
        <r>
          <rPr>
            <sz val="8"/>
            <color indexed="81"/>
            <rFont val="Tahoma"/>
          </rPr>
          <t xml:space="preserve"> Werte für jede Spalte.
7. Gestalten Sie die Tabelle mit Rahmenlinien, Fettschrift für die Überschriften und Musterhintergrund.
8. Drucken Sie die fertige Tabelle mit den Kommentaren aus!
a. Menü Datei, Seite einrichten, Registerkarte Tabelle, Listenfeld Kommentare, Komentare wie auf dem Baltt angezeigt.
b. Drucken Sie die Tabelle so aus, dass Sie auf eine Seite paßt.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4" authorId="0" shapeId="0" xr:uid="{00000000-0006-0000-0100-000001000000}">
      <text>
        <r>
          <rPr>
            <b/>
            <sz val="8"/>
            <color indexed="81"/>
            <rFont val="Tahoma"/>
            <family val="2"/>
          </rPr>
          <t>Arbeitsauftrag:</t>
        </r>
        <r>
          <rPr>
            <sz val="8"/>
            <color indexed="81"/>
            <rFont val="Tahoma"/>
          </rPr>
          <t xml:space="preserve">
1. Berechnen Sie die Mehreinheiten je Monat in der dafür vorgesehenen Spalte. Fügen Sie oberhalb der Tabelle 3 Leerzeilen ein und benennen Sie die Tabelle mit "Telefoneinheiten".
2. Berechnen Sie je Monat in der vorgesehenen Spalte die Prozentanteile der Steigerung der Telefonkosten gegenüber dem Vorjahr
3. Berechnen Sie in einer neuen Zeile die Summe der gesamten Teilefoneinheiten und Mehreinheiten und benennnen Sie die Zeile.
4. Berechnen Sie für das Jahr der Spalte C in einer neuen Spalte F den Anteil der monatlichen Telefoneinheiten bezogen auf die Jahrestelefoneinheiten. Benennen Sie die neue Spalte.
5. Berechnen Sie in einer neuen Zeile die </t>
        </r>
        <r>
          <rPr>
            <b/>
            <sz val="8"/>
            <color indexed="81"/>
            <rFont val="Tahoma"/>
            <family val="2"/>
          </rPr>
          <t>minimalen</t>
        </r>
        <r>
          <rPr>
            <sz val="8"/>
            <color indexed="81"/>
            <rFont val="Tahoma"/>
          </rPr>
          <t xml:space="preserve"> Werte für jede Spalte.
6. Berechnen Sie in einer neuen Zeile die </t>
        </r>
        <r>
          <rPr>
            <b/>
            <sz val="8"/>
            <color indexed="81"/>
            <rFont val="Tahoma"/>
            <family val="2"/>
          </rPr>
          <t>maximalen</t>
        </r>
        <r>
          <rPr>
            <sz val="8"/>
            <color indexed="81"/>
            <rFont val="Tahoma"/>
          </rPr>
          <t xml:space="preserve"> Werte für jede Spalte.
7. Berechnen Sie in einer neuen Zeile die </t>
        </r>
        <r>
          <rPr>
            <b/>
            <sz val="8"/>
            <color indexed="81"/>
            <rFont val="Tahoma"/>
            <family val="2"/>
          </rPr>
          <t>durchschnittlichen</t>
        </r>
        <r>
          <rPr>
            <sz val="8"/>
            <color indexed="81"/>
            <rFont val="Tahoma"/>
          </rPr>
          <t xml:space="preserve"> Werte für jede Spalte.
8. Gestalten Sie die Tabelle mit Rahmenlinien, Fettschrift für die Überschriften und Musterhintergrund.
9. Trennen Sie die Spaltenüberschriften gegebenenfalls auf mehrere Zeilen auf.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9" authorId="0" shapeId="0" xr:uid="{00000000-0006-0000-0200-000001000000}">
      <text>
        <r>
          <rPr>
            <b/>
            <sz val="8"/>
            <color indexed="81"/>
            <rFont val="Tahoma"/>
          </rPr>
          <t>Arbeitsauftrag:</t>
        </r>
        <r>
          <rPr>
            <sz val="8"/>
            <color indexed="81"/>
            <rFont val="Tahoma"/>
          </rPr>
          <t xml:space="preserve">
1. Vergeben Sie Bereichsnamen für die Spalten B bis H von B3 bis H11.
2. Berechnen Sie die fehlenden Werte von E6 bis H11 über Formeln mit den Bereichsnamen [Hinweis1: Rohgewinn = Verkauf_Summe - Einkauf_Summe, Hinweis 2: Handeslspanne = (VKPR_je_St - EKPR_je_St)/VKPR_je_St *100.
3. Berechnen Sie die Summe für die grau unterlegten Felder.
4. Berechnen Sie mit Funktionen von B13 bis H15 die Werte für </t>
        </r>
        <r>
          <rPr>
            <b/>
            <sz val="8"/>
            <color indexed="81"/>
            <rFont val="Tahoma"/>
            <family val="2"/>
          </rPr>
          <t>Durchschnitt, Maximalwert und Minimalwert.</t>
        </r>
        <r>
          <rPr>
            <sz val="8"/>
            <color indexed="81"/>
            <rFont val="Tahoma"/>
          </rPr>
          <t xml:space="preserve">
5. Formatieren Sie Spalten- und Zeilenüberschriften fett und fügen Sie ggf. einen Zeilenumbruch ein.
6. Formatieren Sie die Tabelle mit Rahmenlinien.
7. Zentrieren Sie die Tabellenüberschrift über die Spalten A bis H.
8. Hinterlegen Sie von A3 bis H5 die Spaltenüberschriften mit einem leichten grauen Muster.
9. Formatieren Sie die Werte von C6 bis H15 mit zwei Nachkommastellen.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roland</author>
  </authors>
  <commentList>
    <comment ref="A36" authorId="0" shapeId="0" xr:uid="{00000000-0006-0000-0300-000001000000}">
      <text>
        <r>
          <rPr>
            <b/>
            <sz val="8"/>
            <color indexed="81"/>
            <rFont val="Tahoma"/>
          </rPr>
          <t xml:space="preserve">Arbeitsauftrag:
</t>
        </r>
        <r>
          <rPr>
            <sz val="8"/>
            <color indexed="81"/>
            <rFont val="Tahoma"/>
            <family val="2"/>
          </rPr>
          <t xml:space="preserve">1. Geben Sie den Spalten A bis E die Bereichsnamen von der Zeile 9.
2. Berechnen Sie die gewogene Lohnsumme in den Spalten D und E.
</t>
        </r>
        <r>
          <rPr>
            <sz val="8"/>
            <color indexed="81"/>
            <rFont val="Tahoma"/>
          </rPr>
          <t>3. Berechnen Sie die durchschnittlichen Löhne und Gehälter für die westlichen und die östlichen Betriebe?
4. Wie hoch ist das durchschnittliche Lohn- und Gehaltsniveau beider Betriebe insgesamt?
5. Formatieren Sie die Tabelle mit Rahmen, Schriftart, Farbe und Überschrift.
6. Richten Sie die Tabelle so ein, daß der Kommentar mit ausgedruckt wird und die Tabelle auf eine Seite paßt.</t>
        </r>
      </text>
    </comment>
  </commentList>
</comments>
</file>

<file path=xl/sharedStrings.xml><?xml version="1.0" encoding="utf-8"?>
<sst xmlns="http://schemas.openxmlformats.org/spreadsheetml/2006/main" count="63" uniqueCount="54">
  <si>
    <t>Gesamt</t>
  </si>
  <si>
    <t>Brief</t>
  </si>
  <si>
    <t>Telefax</t>
  </si>
  <si>
    <t>Januar</t>
  </si>
  <si>
    <t>Februar</t>
  </si>
  <si>
    <t>März</t>
  </si>
  <si>
    <t>April</t>
  </si>
  <si>
    <t>Mai</t>
  </si>
  <si>
    <t>Juni</t>
  </si>
  <si>
    <t>Juli</t>
  </si>
  <si>
    <t>August</t>
  </si>
  <si>
    <t>September</t>
  </si>
  <si>
    <t>Oktober</t>
  </si>
  <si>
    <t>November</t>
  </si>
  <si>
    <t>Dezember</t>
  </si>
  <si>
    <t>Steigerung in %</t>
  </si>
  <si>
    <t>Monat/Jahr</t>
  </si>
  <si>
    <t>Artikelgruppen - Analyse: Nudeln</t>
  </si>
  <si>
    <t>Bezeichnung</t>
  </si>
  <si>
    <t>Menge</t>
  </si>
  <si>
    <t>Summe</t>
  </si>
  <si>
    <t>Glasnudeln</t>
  </si>
  <si>
    <t>Bandnudeln</t>
  </si>
  <si>
    <t>Nestnudeln</t>
  </si>
  <si>
    <t>Spaghetti</t>
  </si>
  <si>
    <t>Tortellini</t>
  </si>
  <si>
    <t>Durchschnitt:</t>
  </si>
  <si>
    <t>Maximalwert:</t>
  </si>
  <si>
    <t>Minimalwert:</t>
  </si>
  <si>
    <t>%</t>
  </si>
  <si>
    <t>EKPR je St</t>
  </si>
  <si>
    <t>VKPR je St</t>
  </si>
  <si>
    <t>Einkauf Summe</t>
  </si>
  <si>
    <t>Verkauf Summe</t>
  </si>
  <si>
    <t>Rohgewinn</t>
  </si>
  <si>
    <t>€</t>
  </si>
  <si>
    <t>E-Mail</t>
  </si>
  <si>
    <t>Die Funktionen "Summe", "Minimum", "Maximum", "Durchschnitt"</t>
  </si>
  <si>
    <t>Bruttogehalt</t>
  </si>
  <si>
    <t>%-Anteil e-Mail</t>
  </si>
  <si>
    <t>Minimum</t>
  </si>
  <si>
    <t>Maximum</t>
  </si>
  <si>
    <t>Durchschnitt</t>
  </si>
  <si>
    <t>Telefoneinheiten</t>
  </si>
  <si>
    <t>Anteil aktuelle Jahr</t>
  </si>
  <si>
    <t>Lohnsumme West</t>
  </si>
  <si>
    <t>Lohnsumme  Ost</t>
  </si>
  <si>
    <t>Durchschnittsverdienst in beiden Betrieben</t>
  </si>
  <si>
    <t>Mehrein-heiten</t>
  </si>
  <si>
    <t>Jahr</t>
  </si>
  <si>
    <t>Handels-spanne</t>
  </si>
  <si>
    <t>Risotto</t>
  </si>
  <si>
    <t>Mitarbeiter Betrieb West</t>
  </si>
  <si>
    <t>MitarbeiterBetrieb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</si>
</sst>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0.00\ &quot;€&quot;"/>
  </numFmts>
  <fonts count="10" x14ac:knownFonts="1">
    <font>
      <sz val="10"/>
      <name val="Arial"/>
    </font>
    <font>
      <sz val="8"/>
      <color indexed="81"/>
      <name val="Tahoma"/>
    </font>
    <font>
      <b/>
      <sz val="8"/>
      <color indexed="81"/>
      <name val="Tahoma"/>
    </font>
    <font>
      <b/>
      <sz val="8"/>
      <color indexed="81"/>
      <name val="Tahoma"/>
      <family val="2"/>
    </font>
    <font>
      <b/>
      <sz val="20"/>
      <name val="Arial"/>
      <family val="2"/>
    </font>
    <font>
      <b/>
      <sz val="10"/>
      <name val="Arial"/>
      <family val="2"/>
    </font>
    <font>
      <b/>
      <sz val="12"/>
      <name val="Arial"/>
      <family val="2"/>
    </font>
    <font>
      <sz val="8"/>
      <color indexed="81"/>
      <name val="Tahoma"/>
      <family val="2"/>
    </font>
    <font>
      <b/>
      <sz val="18"/>
      <name val="Arial"/>
      <family val="2"/>
    </font>
    <font>
      <sz val="10"/>
      <name val="Arial"/>
      <family val="2"/>
    </font>
  </fonts>
  <fills count="8">
    <fill>
      <patternFill patternType="none"/>
    </fill>
    <fill>
      <patternFill patternType="gray125"/>
    </fill>
    <fill>
      <patternFill patternType="solid">
        <fgColor indexed="51"/>
        <bgColor indexed="64"/>
      </patternFill>
    </fill>
    <fill>
      <patternFill patternType="gray0625">
        <bgColor indexed="42"/>
      </patternFill>
    </fill>
    <fill>
      <patternFill patternType="solid">
        <fgColor indexed="26"/>
        <bgColor indexed="64"/>
      </patternFill>
    </fill>
    <fill>
      <patternFill patternType="gray0625">
        <bgColor indexed="51"/>
      </patternFill>
    </fill>
    <fill>
      <patternFill patternType="solid">
        <fgColor indexed="42"/>
        <bgColor indexed="64"/>
      </patternFill>
    </fill>
    <fill>
      <patternFill patternType="gray125">
        <bgColor indexed="2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4" fontId="0" fillId="0" borderId="0" xfId="0" applyNumberFormat="1"/>
    <xf numFmtId="0" fontId="0" fillId="0" borderId="1" xfId="0" applyBorder="1"/>
    <xf numFmtId="4" fontId="0" fillId="0" borderId="1" xfId="0" applyNumberFormat="1" applyBorder="1"/>
    <xf numFmtId="2" fontId="0" fillId="0" borderId="1" xfId="0" applyNumberFormat="1" applyBorder="1"/>
    <xf numFmtId="0" fontId="6" fillId="2" borderId="1" xfId="0" applyFont="1" applyFill="1" applyBorder="1" applyAlignment="1">
      <alignment vertical="top"/>
    </xf>
    <xf numFmtId="0" fontId="6" fillId="2" borderId="1" xfId="0" applyFont="1" applyFill="1" applyBorder="1" applyAlignment="1">
      <alignment vertical="top" wrapText="1"/>
    </xf>
    <xf numFmtId="164" fontId="6" fillId="3" borderId="1" xfId="0" applyNumberFormat="1" applyFont="1" applyFill="1" applyBorder="1" applyAlignment="1">
      <alignment horizontal="left"/>
    </xf>
    <xf numFmtId="0" fontId="6" fillId="2" borderId="1" xfId="0" applyFont="1" applyFill="1" applyBorder="1"/>
    <xf numFmtId="4" fontId="0" fillId="4" borderId="1" xfId="0" applyNumberFormat="1" applyFill="1" applyBorder="1"/>
    <xf numFmtId="0" fontId="0" fillId="4" borderId="1" xfId="0" applyFill="1" applyBorder="1"/>
    <xf numFmtId="0" fontId="0" fillId="5" borderId="0" xfId="0" applyFill="1"/>
    <xf numFmtId="4" fontId="0" fillId="5" borderId="0" xfId="0" applyNumberFormat="1" applyFill="1"/>
    <xf numFmtId="10" fontId="0" fillId="0" borderId="1" xfId="0" applyNumberFormat="1" applyBorder="1"/>
    <xf numFmtId="0" fontId="0" fillId="5" borderId="1" xfId="0" applyFill="1" applyBorder="1"/>
    <xf numFmtId="4" fontId="0" fillId="5" borderId="1" xfId="0" applyNumberFormat="1" applyFill="1" applyBorder="1"/>
    <xf numFmtId="10" fontId="0" fillId="5" borderId="1" xfId="0" applyNumberFormat="1" applyFill="1" applyBorder="1"/>
    <xf numFmtId="0" fontId="0" fillId="2" borderId="0" xfId="0" applyFill="1" applyAlignment="1">
      <alignment vertical="top" wrapText="1"/>
    </xf>
    <xf numFmtId="165" fontId="0" fillId="0" borderId="0" xfId="0" applyNumberFormat="1"/>
    <xf numFmtId="165" fontId="0" fillId="6" borderId="0" xfId="0" applyNumberFormat="1" applyFill="1"/>
    <xf numFmtId="0" fontId="5" fillId="2" borderId="1" xfId="0" applyFont="1" applyFill="1" applyBorder="1" applyAlignment="1">
      <alignment horizontal="center" vertical="top" wrapText="1"/>
    </xf>
    <xf numFmtId="0" fontId="5" fillId="5" borderId="1" xfId="0" applyFont="1" applyFill="1" applyBorder="1"/>
    <xf numFmtId="0" fontId="5" fillId="0" borderId="1" xfId="0" applyFont="1" applyBorder="1"/>
    <xf numFmtId="0" fontId="0" fillId="0" borderId="2" xfId="0" applyBorder="1"/>
    <xf numFmtId="0" fontId="0" fillId="0" borderId="3" xfId="0" applyBorder="1"/>
    <xf numFmtId="0" fontId="5" fillId="1" borderId="4" xfId="0" applyFont="1" applyFill="1" applyBorder="1" applyAlignment="1">
      <alignment horizontal="center" vertical="top" wrapText="1"/>
    </xf>
    <xf numFmtId="0" fontId="5" fillId="1" borderId="5" xfId="0" applyFont="1" applyFill="1" applyBorder="1" applyAlignment="1">
      <alignment horizontal="center" vertical="top" wrapText="1"/>
    </xf>
    <xf numFmtId="0" fontId="5" fillId="1" borderId="6" xfId="0" applyFont="1" applyFill="1" applyBorder="1" applyAlignment="1">
      <alignment horizontal="center" vertical="top" wrapText="1"/>
    </xf>
    <xf numFmtId="0" fontId="0" fillId="0" borderId="7" xfId="0" applyBorder="1"/>
    <xf numFmtId="4" fontId="0" fillId="7" borderId="1" xfId="0" applyNumberFormat="1" applyFill="1" applyBorder="1"/>
    <xf numFmtId="0" fontId="4" fillId="0" borderId="0" xfId="0" applyFont="1" applyAlignment="1">
      <alignment horizontal="center" wrapText="1"/>
    </xf>
    <xf numFmtId="0" fontId="4" fillId="0" borderId="0" xfId="0" applyFont="1" applyAlignment="1">
      <alignment horizontal="center"/>
    </xf>
    <xf numFmtId="0" fontId="8" fillId="0" borderId="0" xfId="0" applyFont="1" applyAlignment="1">
      <alignment horizontal="center"/>
    </xf>
    <xf numFmtId="3" fontId="0" fillId="0" borderId="0" xfId="0" applyNumberFormat="1"/>
    <xf numFmtId="0" fontId="9" fillId="2" borderId="0" xfId="0" applyFont="1" applyFill="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tabSelected="1" workbookViewId="0">
      <selection activeCell="G15" sqref="G15"/>
    </sheetView>
  </sheetViews>
  <sheetFormatPr baseColWidth="10" defaultRowHeight="12.75" x14ac:dyDescent="0.2"/>
  <cols>
    <col min="1" max="1" width="15.42578125" customWidth="1"/>
    <col min="6" max="6" width="11.7109375" customWidth="1"/>
  </cols>
  <sheetData>
    <row r="1" spans="1:6" ht="53.25" customHeight="1" x14ac:dyDescent="0.4">
      <c r="A1" s="30" t="s">
        <v>37</v>
      </c>
      <c r="B1" s="30"/>
      <c r="C1" s="30"/>
      <c r="D1" s="30"/>
      <c r="E1" s="30"/>
      <c r="F1" s="30"/>
    </row>
    <row r="8" spans="1:6" x14ac:dyDescent="0.2"/>
    <row r="12" spans="1:6" ht="31.5" x14ac:dyDescent="0.25">
      <c r="A12" s="8" t="s">
        <v>49</v>
      </c>
      <c r="B12" s="5" t="s">
        <v>0</v>
      </c>
      <c r="C12" s="5" t="s">
        <v>1</v>
      </c>
      <c r="D12" s="5" t="s">
        <v>2</v>
      </c>
      <c r="E12" s="5" t="s">
        <v>36</v>
      </c>
      <c r="F12" s="6" t="s">
        <v>39</v>
      </c>
    </row>
    <row r="13" spans="1:6" ht="15.75" x14ac:dyDescent="0.25">
      <c r="A13" s="7">
        <f ca="1">TODAY()</f>
        <v>44581</v>
      </c>
      <c r="B13" s="3">
        <f>SUM(C13:E13)</f>
        <v>8734</v>
      </c>
      <c r="C13" s="3">
        <v>1600</v>
      </c>
      <c r="D13" s="3">
        <v>1145</v>
      </c>
      <c r="E13" s="3">
        <v>5989</v>
      </c>
      <c r="F13" s="4">
        <f>E13/B13*100</f>
        <v>68.571101442637968</v>
      </c>
    </row>
    <row r="14" spans="1:6" ht="15.75" x14ac:dyDescent="0.25">
      <c r="A14" s="7">
        <f ca="1">A13-365</f>
        <v>44216</v>
      </c>
      <c r="B14" s="3">
        <f t="shared" ref="B14:B24" si="0">SUM(C14:E14)</f>
        <v>8287</v>
      </c>
      <c r="C14" s="3">
        <v>1720</v>
      </c>
      <c r="D14" s="3">
        <v>1222</v>
      </c>
      <c r="E14" s="3">
        <v>5345</v>
      </c>
      <c r="F14" s="4">
        <f t="shared" ref="F14:F24" si="1">E14/B14*100</f>
        <v>64.498612284300719</v>
      </c>
    </row>
    <row r="15" spans="1:6" ht="15.75" x14ac:dyDescent="0.25">
      <c r="A15" s="7">
        <f t="shared" ref="A15:A24" ca="1" si="2">A14-365</f>
        <v>43851</v>
      </c>
      <c r="B15" s="3">
        <f t="shared" si="0"/>
        <v>8400</v>
      </c>
      <c r="C15" s="3">
        <v>1950</v>
      </c>
      <c r="D15" s="3">
        <v>1325</v>
      </c>
      <c r="E15" s="3">
        <v>5125</v>
      </c>
      <c r="F15" s="4">
        <f t="shared" si="1"/>
        <v>61.011904761904766</v>
      </c>
    </row>
    <row r="16" spans="1:6" ht="15.75" x14ac:dyDescent="0.25">
      <c r="A16" s="7">
        <f t="shared" ca="1" si="2"/>
        <v>43486</v>
      </c>
      <c r="B16" s="3">
        <f t="shared" si="0"/>
        <v>7570</v>
      </c>
      <c r="C16" s="3">
        <v>1900</v>
      </c>
      <c r="D16" s="3">
        <v>1426</v>
      </c>
      <c r="E16" s="3">
        <v>4244</v>
      </c>
      <c r="F16" s="4">
        <f t="shared" si="1"/>
        <v>56.063408190224571</v>
      </c>
    </row>
    <row r="17" spans="1:6" ht="15.75" x14ac:dyDescent="0.25">
      <c r="A17" s="7">
        <f t="shared" ca="1" si="2"/>
        <v>43121</v>
      </c>
      <c r="B17" s="3">
        <f t="shared" si="0"/>
        <v>7945</v>
      </c>
      <c r="C17" s="3">
        <v>2150</v>
      </c>
      <c r="D17" s="3">
        <v>1607</v>
      </c>
      <c r="E17" s="3">
        <v>4188</v>
      </c>
      <c r="F17" s="4">
        <f t="shared" si="1"/>
        <v>52.712397734424165</v>
      </c>
    </row>
    <row r="18" spans="1:6" ht="15.75" x14ac:dyDescent="0.25">
      <c r="A18" s="7">
        <f t="shared" ca="1" si="2"/>
        <v>42756</v>
      </c>
      <c r="B18" s="3">
        <f t="shared" si="0"/>
        <v>7112</v>
      </c>
      <c r="C18" s="3">
        <v>2280</v>
      </c>
      <c r="D18" s="3">
        <v>1599</v>
      </c>
      <c r="E18" s="3">
        <v>3233</v>
      </c>
      <c r="F18" s="4">
        <f t="shared" si="1"/>
        <v>45.458380202474693</v>
      </c>
    </row>
    <row r="19" spans="1:6" ht="15.75" x14ac:dyDescent="0.25">
      <c r="A19" s="7">
        <f t="shared" ca="1" si="2"/>
        <v>42391</v>
      </c>
      <c r="B19" s="3">
        <f t="shared" si="0"/>
        <v>5206</v>
      </c>
      <c r="C19" s="3">
        <v>2460</v>
      </c>
      <c r="D19" s="3">
        <v>1246</v>
      </c>
      <c r="E19" s="3">
        <v>1500</v>
      </c>
      <c r="F19" s="4">
        <f t="shared" si="1"/>
        <v>28.812908182865925</v>
      </c>
    </row>
    <row r="20" spans="1:6" ht="15.75" x14ac:dyDescent="0.25">
      <c r="A20" s="7">
        <f t="shared" ca="1" si="2"/>
        <v>42026</v>
      </c>
      <c r="B20" s="3">
        <f t="shared" si="0"/>
        <v>4776</v>
      </c>
      <c r="C20" s="3">
        <v>2670</v>
      </c>
      <c r="D20" s="3">
        <v>1084</v>
      </c>
      <c r="E20" s="3">
        <v>1022</v>
      </c>
      <c r="F20" s="4">
        <f t="shared" si="1"/>
        <v>21.39865996649916</v>
      </c>
    </row>
    <row r="21" spans="1:6" ht="15.75" x14ac:dyDescent="0.25">
      <c r="A21" s="7">
        <f t="shared" ca="1" si="2"/>
        <v>41661</v>
      </c>
      <c r="B21" s="3">
        <f t="shared" si="0"/>
        <v>4620</v>
      </c>
      <c r="C21" s="3">
        <v>3290</v>
      </c>
      <c r="D21" s="3">
        <v>877</v>
      </c>
      <c r="E21" s="3">
        <v>453</v>
      </c>
      <c r="F21" s="4">
        <f t="shared" si="1"/>
        <v>9.8051948051948052</v>
      </c>
    </row>
    <row r="22" spans="1:6" ht="15.75" x14ac:dyDescent="0.25">
      <c r="A22" s="7">
        <f t="shared" ca="1" si="2"/>
        <v>41296</v>
      </c>
      <c r="B22" s="3">
        <f t="shared" si="0"/>
        <v>5222</v>
      </c>
      <c r="C22" s="3">
        <v>4270</v>
      </c>
      <c r="D22" s="3">
        <v>832</v>
      </c>
      <c r="E22" s="3">
        <v>120</v>
      </c>
      <c r="F22" s="4">
        <f t="shared" si="1"/>
        <v>2.297970126388357</v>
      </c>
    </row>
    <row r="23" spans="1:6" ht="15.75" x14ac:dyDescent="0.25">
      <c r="A23" s="7">
        <f t="shared" ca="1" si="2"/>
        <v>40931</v>
      </c>
      <c r="B23" s="3">
        <f t="shared" si="0"/>
        <v>5397</v>
      </c>
      <c r="C23" s="3">
        <v>4690</v>
      </c>
      <c r="D23" s="3">
        <v>585</v>
      </c>
      <c r="E23" s="3">
        <v>122</v>
      </c>
      <c r="F23" s="4">
        <f t="shared" si="1"/>
        <v>2.260515100982027</v>
      </c>
    </row>
    <row r="24" spans="1:6" ht="15.75" x14ac:dyDescent="0.25">
      <c r="A24" s="7">
        <f t="shared" ca="1" si="2"/>
        <v>40566</v>
      </c>
      <c r="B24" s="3">
        <f t="shared" si="0"/>
        <v>5611</v>
      </c>
      <c r="C24" s="3">
        <v>5240</v>
      </c>
      <c r="D24" s="3">
        <v>281</v>
      </c>
      <c r="E24" s="3">
        <v>90</v>
      </c>
      <c r="F24" s="4">
        <f t="shared" si="1"/>
        <v>1.6039921582605599</v>
      </c>
    </row>
    <row r="25" spans="1:6" ht="15.75" x14ac:dyDescent="0.25">
      <c r="A25" s="8" t="s">
        <v>20</v>
      </c>
      <c r="B25" s="9">
        <f>SUM(B13:B24)</f>
        <v>78880</v>
      </c>
      <c r="C25" s="9">
        <f>SUM(C13:C24)</f>
        <v>34220</v>
      </c>
      <c r="D25" s="9">
        <f>SUM(D13:D24)</f>
        <v>13229</v>
      </c>
      <c r="E25" s="9">
        <f>SUM(E13:E24)</f>
        <v>31431</v>
      </c>
      <c r="F25" s="10"/>
    </row>
    <row r="26" spans="1:6" ht="15.75" x14ac:dyDescent="0.25">
      <c r="A26" s="8" t="s">
        <v>40</v>
      </c>
      <c r="B26" s="9">
        <f>MIN(B13:B25)</f>
        <v>4620</v>
      </c>
      <c r="C26" s="9">
        <f>MIN(C13:C25)</f>
        <v>1600</v>
      </c>
      <c r="D26" s="9">
        <f>MIN(D13:D25)</f>
        <v>281</v>
      </c>
      <c r="E26" s="9">
        <f>MIN(E13:E25)</f>
        <v>90</v>
      </c>
      <c r="F26" s="9">
        <f>MIN(F13:F25)</f>
        <v>1.6039921582605599</v>
      </c>
    </row>
    <row r="27" spans="1:6" ht="15.75" x14ac:dyDescent="0.25">
      <c r="A27" s="8" t="s">
        <v>41</v>
      </c>
      <c r="B27" s="9">
        <f>MAX(B13:B24)</f>
        <v>8734</v>
      </c>
      <c r="C27" s="9">
        <f>MAX(C13:C24)</f>
        <v>5240</v>
      </c>
      <c r="D27" s="9">
        <f>MAX(D13:D24)</f>
        <v>1607</v>
      </c>
      <c r="E27" s="9">
        <f>MAX(E13:E24)</f>
        <v>5989</v>
      </c>
      <c r="F27" s="9">
        <f>MAX(F13:F24)</f>
        <v>68.571101442637968</v>
      </c>
    </row>
    <row r="28" spans="1:6" ht="15.75" x14ac:dyDescent="0.25">
      <c r="A28" s="8" t="s">
        <v>42</v>
      </c>
      <c r="B28" s="9">
        <f>AVERAGE(B13:B24)</f>
        <v>6573.333333333333</v>
      </c>
      <c r="C28" s="9">
        <f>AVERAGE(C13:C24)</f>
        <v>2851.6666666666665</v>
      </c>
      <c r="D28" s="9">
        <f>AVERAGE(D13:D24)</f>
        <v>1102.4166666666667</v>
      </c>
      <c r="E28" s="9">
        <f>AVERAGE(E13:E24)</f>
        <v>2619.25</v>
      </c>
      <c r="F28" s="9">
        <f>AVERAGE(F13:F24)</f>
        <v>34.541253746346477</v>
      </c>
    </row>
    <row r="31" spans="1:6" x14ac:dyDescent="0.2"/>
  </sheetData>
  <mergeCells count="1">
    <mergeCell ref="A1:F1"/>
  </mergeCells>
  <phoneticPr fontId="0"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topLeftCell="A3" workbookViewId="0">
      <selection activeCell="G12" sqref="G12"/>
    </sheetView>
  </sheetViews>
  <sheetFormatPr baseColWidth="10" defaultRowHeight="12.75" x14ac:dyDescent="0.2"/>
  <cols>
    <col min="4" max="4" width="10.7109375" customWidth="1"/>
    <col min="5" max="5" width="11.28515625" customWidth="1"/>
  </cols>
  <sheetData>
    <row r="1" spans="1:6" ht="26.25" x14ac:dyDescent="0.4">
      <c r="A1" s="31" t="s">
        <v>43</v>
      </c>
      <c r="B1" s="31"/>
      <c r="C1" s="31"/>
      <c r="D1" s="31"/>
      <c r="E1" s="31"/>
      <c r="F1" s="31"/>
    </row>
    <row r="4" spans="1:6" ht="38.25" x14ac:dyDescent="0.2">
      <c r="A4" s="20" t="s">
        <v>16</v>
      </c>
      <c r="B4" s="20">
        <f ca="1">YEAR(TODAY()-730)</f>
        <v>2020</v>
      </c>
      <c r="C4" s="20">
        <f ca="1">YEAR(TODAY()-365)</f>
        <v>2021</v>
      </c>
      <c r="D4" s="20" t="s">
        <v>48</v>
      </c>
      <c r="E4" s="20" t="s">
        <v>15</v>
      </c>
      <c r="F4" s="20" t="s">
        <v>44</v>
      </c>
    </row>
    <row r="5" spans="1:6" x14ac:dyDescent="0.2">
      <c r="A5" s="2" t="s">
        <v>3</v>
      </c>
      <c r="B5" s="3">
        <v>1556</v>
      </c>
      <c r="C5" s="3">
        <v>1865</v>
      </c>
      <c r="D5" s="3">
        <f>(C5-B5)</f>
        <v>309</v>
      </c>
      <c r="E5" s="3">
        <f>(D5/B5)*100</f>
        <v>19.858611825192803</v>
      </c>
      <c r="F5" s="13">
        <f>C5/$C$17</f>
        <v>0.11640244663587566</v>
      </c>
    </row>
    <row r="6" spans="1:6" x14ac:dyDescent="0.2">
      <c r="A6" s="2" t="s">
        <v>4</v>
      </c>
      <c r="B6" s="3">
        <v>1487</v>
      </c>
      <c r="C6" s="3">
        <v>1543</v>
      </c>
      <c r="D6" s="3">
        <f t="shared" ref="D6:D16" si="0">(C6-B6)</f>
        <v>56</v>
      </c>
      <c r="E6" s="3">
        <f t="shared" ref="E6:E16" si="1">(D6/B6)*100</f>
        <v>3.7659717552118361</v>
      </c>
      <c r="F6" s="13">
        <f t="shared" ref="F6:F16" si="2">C6/$C$17</f>
        <v>9.6305080514292846E-2</v>
      </c>
    </row>
    <row r="7" spans="1:6" x14ac:dyDescent="0.2">
      <c r="A7" s="2" t="s">
        <v>5</v>
      </c>
      <c r="B7" s="3">
        <v>1303</v>
      </c>
      <c r="C7" s="3">
        <v>1108</v>
      </c>
      <c r="D7" s="3">
        <f t="shared" si="0"/>
        <v>-195</v>
      </c>
      <c r="E7" s="3">
        <f t="shared" si="1"/>
        <v>-14.965464313123562</v>
      </c>
      <c r="F7" s="13">
        <f t="shared" si="2"/>
        <v>6.9154911996005486E-2</v>
      </c>
    </row>
    <row r="8" spans="1:6" x14ac:dyDescent="0.2">
      <c r="A8" s="2" t="s">
        <v>6</v>
      </c>
      <c r="B8" s="3">
        <v>1252</v>
      </c>
      <c r="C8" s="3">
        <v>1075</v>
      </c>
      <c r="D8" s="3">
        <f t="shared" si="0"/>
        <v>-177</v>
      </c>
      <c r="E8" s="3">
        <f t="shared" si="1"/>
        <v>-14.137380191693291</v>
      </c>
      <c r="F8" s="13">
        <f t="shared" si="2"/>
        <v>6.7095244039445764E-2</v>
      </c>
    </row>
    <row r="9" spans="1:6" x14ac:dyDescent="0.2">
      <c r="A9" s="2" t="s">
        <v>7</v>
      </c>
      <c r="B9" s="3">
        <v>1355</v>
      </c>
      <c r="C9" s="3">
        <v>1578</v>
      </c>
      <c r="D9" s="3">
        <f t="shared" si="0"/>
        <v>223</v>
      </c>
      <c r="E9" s="3">
        <f t="shared" si="1"/>
        <v>16.457564575645755</v>
      </c>
      <c r="F9" s="13">
        <f t="shared" si="2"/>
        <v>9.8489576831856204E-2</v>
      </c>
    </row>
    <row r="10" spans="1:6" x14ac:dyDescent="0.2">
      <c r="A10" s="2" t="s">
        <v>8</v>
      </c>
      <c r="B10" s="3">
        <v>1154</v>
      </c>
      <c r="C10" s="3">
        <v>1014</v>
      </c>
      <c r="D10" s="3">
        <f t="shared" si="0"/>
        <v>-140</v>
      </c>
      <c r="E10" s="3">
        <f t="shared" si="1"/>
        <v>-12.131715771230503</v>
      </c>
      <c r="F10" s="13">
        <f t="shared" si="2"/>
        <v>6.3287979028835345E-2</v>
      </c>
    </row>
    <row r="11" spans="1:6" x14ac:dyDescent="0.2">
      <c r="A11" s="2" t="s">
        <v>9</v>
      </c>
      <c r="B11" s="3">
        <v>898</v>
      </c>
      <c r="C11" s="3">
        <v>799</v>
      </c>
      <c r="D11" s="3">
        <f t="shared" si="0"/>
        <v>-99</v>
      </c>
      <c r="E11" s="3">
        <f t="shared" si="1"/>
        <v>-11.024498886414253</v>
      </c>
      <c r="F11" s="13">
        <f t="shared" si="2"/>
        <v>4.9868930220946198E-2</v>
      </c>
    </row>
    <row r="12" spans="1:6" x14ac:dyDescent="0.2">
      <c r="A12" s="2" t="s">
        <v>10</v>
      </c>
      <c r="B12" s="3">
        <v>767</v>
      </c>
      <c r="C12" s="3">
        <v>715</v>
      </c>
      <c r="D12" s="3">
        <f t="shared" si="0"/>
        <v>-52</v>
      </c>
      <c r="E12" s="3">
        <f t="shared" si="1"/>
        <v>-6.7796610169491522</v>
      </c>
      <c r="F12" s="13">
        <f t="shared" si="2"/>
        <v>4.4626139058794159E-2</v>
      </c>
    </row>
    <row r="13" spans="1:6" x14ac:dyDescent="0.2">
      <c r="A13" s="2" t="s">
        <v>11</v>
      </c>
      <c r="B13" s="3">
        <v>1362</v>
      </c>
      <c r="C13" s="3">
        <v>1251</v>
      </c>
      <c r="D13" s="3">
        <f t="shared" si="0"/>
        <v>-111</v>
      </c>
      <c r="E13" s="3">
        <f t="shared" si="1"/>
        <v>-8.1497797356828183</v>
      </c>
      <c r="F13" s="13">
        <f t="shared" si="2"/>
        <v>7.8080139807764321E-2</v>
      </c>
    </row>
    <row r="14" spans="1:6" x14ac:dyDescent="0.2">
      <c r="A14" s="2" t="s">
        <v>12</v>
      </c>
      <c r="B14" s="3">
        <v>1432</v>
      </c>
      <c r="C14" s="3">
        <v>1556</v>
      </c>
      <c r="D14" s="3">
        <f t="shared" si="0"/>
        <v>124</v>
      </c>
      <c r="E14" s="3">
        <f t="shared" si="1"/>
        <v>8.6592178770949726</v>
      </c>
      <c r="F14" s="13">
        <f t="shared" si="2"/>
        <v>9.7116464860816376E-2</v>
      </c>
    </row>
    <row r="15" spans="1:6" x14ac:dyDescent="0.2">
      <c r="A15" s="2" t="s">
        <v>13</v>
      </c>
      <c r="B15" s="3">
        <v>1852</v>
      </c>
      <c r="C15" s="3">
        <v>1796</v>
      </c>
      <c r="D15" s="3">
        <f t="shared" si="0"/>
        <v>-56</v>
      </c>
      <c r="E15" s="3">
        <f t="shared" si="1"/>
        <v>-3.0237580993520519</v>
      </c>
      <c r="F15" s="13">
        <f t="shared" si="2"/>
        <v>0.11209586818125078</v>
      </c>
    </row>
    <row r="16" spans="1:6" x14ac:dyDescent="0.2">
      <c r="A16" s="2" t="s">
        <v>14</v>
      </c>
      <c r="B16" s="3">
        <v>1756</v>
      </c>
      <c r="C16" s="3">
        <v>1722</v>
      </c>
      <c r="D16" s="3">
        <f t="shared" si="0"/>
        <v>-34</v>
      </c>
      <c r="E16" s="3">
        <f t="shared" si="1"/>
        <v>-1.9362186788154898</v>
      </c>
      <c r="F16" s="13">
        <f t="shared" si="2"/>
        <v>0.10747721882411684</v>
      </c>
    </row>
    <row r="17" spans="1:6" x14ac:dyDescent="0.2">
      <c r="A17" s="21" t="s">
        <v>20</v>
      </c>
      <c r="B17" s="15">
        <f>SUM(B5:B16)</f>
        <v>16174</v>
      </c>
      <c r="C17" s="15">
        <f>SUM(C5:C16)</f>
        <v>16022</v>
      </c>
      <c r="D17" s="15">
        <f>SUM(D5:D16)</f>
        <v>-152</v>
      </c>
      <c r="E17" s="14"/>
      <c r="F17" s="14"/>
    </row>
    <row r="18" spans="1:6" x14ac:dyDescent="0.2">
      <c r="A18" s="21" t="s">
        <v>40</v>
      </c>
      <c r="B18" s="15">
        <f>MIN(B5:B16)</f>
        <v>767</v>
      </c>
      <c r="C18" s="15">
        <f>MIN(C5:C16)</f>
        <v>715</v>
      </c>
      <c r="D18" s="15">
        <f>MIN(D5:D16)</f>
        <v>-195</v>
      </c>
      <c r="E18" s="15">
        <f>MIN(E5:E16)</f>
        <v>-14.965464313123562</v>
      </c>
      <c r="F18" s="16">
        <f>MIN(F5:F16)</f>
        <v>4.4626139058794159E-2</v>
      </c>
    </row>
    <row r="19" spans="1:6" x14ac:dyDescent="0.2">
      <c r="A19" s="21" t="s">
        <v>41</v>
      </c>
      <c r="B19" s="15">
        <f>MAX(B5:B16)</f>
        <v>1852</v>
      </c>
      <c r="C19" s="15">
        <f>MAX(C5:C16)</f>
        <v>1865</v>
      </c>
      <c r="D19" s="15">
        <f>MAX(D5:D16)</f>
        <v>309</v>
      </c>
      <c r="E19" s="15">
        <f>MAX(E5:E16)</f>
        <v>19.858611825192803</v>
      </c>
      <c r="F19" s="16">
        <f>MAX(F5:F16)</f>
        <v>0.11640244663587566</v>
      </c>
    </row>
    <row r="24" spans="1:6" x14ac:dyDescent="0.2"/>
  </sheetData>
  <mergeCells count="1">
    <mergeCell ref="A1:F1"/>
  </mergeCells>
  <phoneticPr fontId="0"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H26" sqref="H26"/>
    </sheetView>
  </sheetViews>
  <sheetFormatPr baseColWidth="10" defaultRowHeight="12.75" x14ac:dyDescent="0.2"/>
  <cols>
    <col min="1" max="1" width="14.28515625" customWidth="1"/>
  </cols>
  <sheetData>
    <row r="1" spans="1:8" ht="23.25" x14ac:dyDescent="0.35">
      <c r="A1" s="32" t="s">
        <v>17</v>
      </c>
      <c r="B1" s="32"/>
      <c r="C1" s="32"/>
      <c r="D1" s="32"/>
      <c r="E1" s="32"/>
      <c r="F1" s="32"/>
      <c r="G1" s="32"/>
      <c r="H1" s="32"/>
    </row>
    <row r="3" spans="1:8" ht="25.5" x14ac:dyDescent="0.2">
      <c r="A3" s="25" t="s">
        <v>18</v>
      </c>
      <c r="B3" s="25" t="s">
        <v>19</v>
      </c>
      <c r="C3" s="25" t="s">
        <v>30</v>
      </c>
      <c r="D3" s="25" t="s">
        <v>31</v>
      </c>
      <c r="E3" s="27" t="s">
        <v>32</v>
      </c>
      <c r="F3" s="26" t="s">
        <v>33</v>
      </c>
      <c r="G3" s="26" t="s">
        <v>34</v>
      </c>
      <c r="H3" s="26" t="s">
        <v>50</v>
      </c>
    </row>
    <row r="4" spans="1:8" x14ac:dyDescent="0.2">
      <c r="A4" s="23"/>
      <c r="B4" s="23"/>
      <c r="C4" s="23"/>
      <c r="D4" s="23"/>
      <c r="E4" s="28"/>
      <c r="F4" s="24"/>
      <c r="G4" s="24"/>
      <c r="H4" s="24"/>
    </row>
    <row r="5" spans="1:8" x14ac:dyDescent="0.2">
      <c r="A5" s="2"/>
      <c r="B5" s="2"/>
      <c r="C5" s="2" t="s">
        <v>35</v>
      </c>
      <c r="D5" s="2" t="s">
        <v>35</v>
      </c>
      <c r="E5" s="2" t="s">
        <v>35</v>
      </c>
      <c r="F5" s="2" t="s">
        <v>35</v>
      </c>
      <c r="G5" s="2" t="s">
        <v>35</v>
      </c>
      <c r="H5" s="2" t="s">
        <v>29</v>
      </c>
    </row>
    <row r="6" spans="1:8" x14ac:dyDescent="0.2">
      <c r="A6" s="22" t="s">
        <v>21</v>
      </c>
      <c r="B6" s="2">
        <v>496</v>
      </c>
      <c r="C6" s="3">
        <v>0.4</v>
      </c>
      <c r="D6" s="3">
        <v>1.45</v>
      </c>
      <c r="E6" s="3">
        <f t="shared" ref="E6:E11" si="0">Menge*EKPR_je_St</f>
        <v>198.4</v>
      </c>
      <c r="F6" s="3">
        <f t="shared" ref="F6:F11" si="1">Menge*VKPR_je_St</f>
        <v>719.19999999999993</v>
      </c>
      <c r="G6" s="3">
        <f t="shared" ref="G6:G11" si="2">Verkauf_Summe-Einkauf_Summe</f>
        <v>520.79999999999995</v>
      </c>
      <c r="H6" s="3">
        <f t="shared" ref="H6:H11" si="3">(VKPR_je_St-EKPR_je_St)/VKPR_je_St*100</f>
        <v>72.41379310344827</v>
      </c>
    </row>
    <row r="7" spans="1:8" x14ac:dyDescent="0.2">
      <c r="A7" s="22" t="s">
        <v>22</v>
      </c>
      <c r="B7" s="2">
        <v>328</v>
      </c>
      <c r="C7" s="3">
        <v>1.5</v>
      </c>
      <c r="D7" s="3">
        <v>2.4500000000000002</v>
      </c>
      <c r="E7" s="3">
        <f t="shared" si="0"/>
        <v>492</v>
      </c>
      <c r="F7" s="3">
        <f t="shared" si="1"/>
        <v>803.6</v>
      </c>
      <c r="G7" s="3">
        <f t="shared" si="2"/>
        <v>311.60000000000002</v>
      </c>
      <c r="H7" s="3">
        <f t="shared" si="3"/>
        <v>38.775510204081634</v>
      </c>
    </row>
    <row r="8" spans="1:8" x14ac:dyDescent="0.2">
      <c r="A8" s="22" t="s">
        <v>23</v>
      </c>
      <c r="B8" s="2">
        <v>370</v>
      </c>
      <c r="C8" s="3">
        <v>1.65</v>
      </c>
      <c r="D8" s="3">
        <v>4.25</v>
      </c>
      <c r="E8" s="3">
        <f t="shared" si="0"/>
        <v>610.5</v>
      </c>
      <c r="F8" s="3">
        <f t="shared" si="1"/>
        <v>1572.5</v>
      </c>
      <c r="G8" s="3">
        <f t="shared" si="2"/>
        <v>962</v>
      </c>
      <c r="H8" s="3">
        <f t="shared" si="3"/>
        <v>61.176470588235297</v>
      </c>
    </row>
    <row r="9" spans="1:8" x14ac:dyDescent="0.2">
      <c r="A9" s="22" t="s">
        <v>24</v>
      </c>
      <c r="B9" s="2">
        <v>280</v>
      </c>
      <c r="C9" s="3">
        <v>1.1100000000000001</v>
      </c>
      <c r="D9" s="3">
        <v>3.12</v>
      </c>
      <c r="E9" s="3">
        <f t="shared" si="0"/>
        <v>310.8</v>
      </c>
      <c r="F9" s="3">
        <f t="shared" si="1"/>
        <v>873.6</v>
      </c>
      <c r="G9" s="3">
        <f t="shared" si="2"/>
        <v>562.79999999999995</v>
      </c>
      <c r="H9" s="3">
        <f t="shared" si="3"/>
        <v>64.42307692307692</v>
      </c>
    </row>
    <row r="10" spans="1:8" x14ac:dyDescent="0.2">
      <c r="A10" s="22" t="s">
        <v>25</v>
      </c>
      <c r="B10" s="2">
        <v>168</v>
      </c>
      <c r="C10" s="3">
        <v>2.34</v>
      </c>
      <c r="D10" s="3">
        <v>3.1</v>
      </c>
      <c r="E10" s="3">
        <f t="shared" si="0"/>
        <v>393.12</v>
      </c>
      <c r="F10" s="3">
        <f t="shared" si="1"/>
        <v>520.80000000000007</v>
      </c>
      <c r="G10" s="3">
        <f t="shared" si="2"/>
        <v>127.68000000000006</v>
      </c>
      <c r="H10" s="3">
        <f t="shared" si="3"/>
        <v>24.516129032258071</v>
      </c>
    </row>
    <row r="11" spans="1:8" x14ac:dyDescent="0.2">
      <c r="A11" s="22" t="s">
        <v>51</v>
      </c>
      <c r="B11" s="2">
        <v>222</v>
      </c>
      <c r="C11" s="3">
        <v>1.54</v>
      </c>
      <c r="D11" s="3">
        <v>1.25</v>
      </c>
      <c r="E11" s="3">
        <f t="shared" si="0"/>
        <v>341.88</v>
      </c>
      <c r="F11" s="3">
        <f t="shared" si="1"/>
        <v>277.5</v>
      </c>
      <c r="G11" s="3">
        <f t="shared" si="2"/>
        <v>-64.38</v>
      </c>
      <c r="H11" s="3">
        <f t="shared" si="3"/>
        <v>-23.200000000000003</v>
      </c>
    </row>
    <row r="12" spans="1:8" x14ac:dyDescent="0.2">
      <c r="A12" s="22" t="s">
        <v>20</v>
      </c>
      <c r="B12" s="2"/>
      <c r="C12" s="3"/>
      <c r="D12" s="3"/>
      <c r="E12" s="29">
        <f>SUM(Einkauf_Summe)</f>
        <v>2346.7000000000003</v>
      </c>
      <c r="F12" s="29">
        <f>SUM(Einkauf_Summe)</f>
        <v>2346.7000000000003</v>
      </c>
      <c r="G12" s="29">
        <f>SUM(Einkauf_Summe)</f>
        <v>2346.7000000000003</v>
      </c>
      <c r="H12" s="3"/>
    </row>
    <row r="13" spans="1:8" x14ac:dyDescent="0.2">
      <c r="A13" s="22" t="s">
        <v>26</v>
      </c>
      <c r="B13" s="3">
        <f>AVERAGE(Menge)</f>
        <v>310.66666666666669</v>
      </c>
      <c r="C13" s="3">
        <f>AVERAGE(EKPR_je_St)</f>
        <v>1.4233333333333331</v>
      </c>
      <c r="D13" s="3">
        <f>AVERAGE(VKPR_je_St)</f>
        <v>2.6033333333333331</v>
      </c>
      <c r="E13" s="3">
        <f>AVERAGE(Einkauf_Summe)</f>
        <v>391.11666666666673</v>
      </c>
      <c r="F13" s="3">
        <f>AVERAGE(Verkauf_Summe)</f>
        <v>794.5333333333333</v>
      </c>
      <c r="G13" s="3">
        <f>AVERAGE(Rohgewinn)</f>
        <v>403.41666666666669</v>
      </c>
      <c r="H13" s="3">
        <f>AVERAGE(Handelsspanne)</f>
        <v>39.684163308516702</v>
      </c>
    </row>
    <row r="14" spans="1:8" x14ac:dyDescent="0.2">
      <c r="A14" s="22" t="s">
        <v>27</v>
      </c>
      <c r="B14" s="2">
        <f>MAX(Menge)</f>
        <v>496</v>
      </c>
      <c r="C14" s="3">
        <f>MAX(EKPR_je_St)</f>
        <v>2.34</v>
      </c>
      <c r="D14" s="3">
        <f>MAX(VKPR_je_St)</f>
        <v>4.25</v>
      </c>
      <c r="E14" s="3">
        <f>MAX(Einkauf_Summe)</f>
        <v>610.5</v>
      </c>
      <c r="F14" s="3">
        <f>MAX(Verkauf_Summe)</f>
        <v>1572.5</v>
      </c>
      <c r="G14" s="3">
        <f>MAX(Rohgewinn)</f>
        <v>962</v>
      </c>
      <c r="H14" s="3">
        <f>MAX(Handelsspanne)</f>
        <v>72.41379310344827</v>
      </c>
    </row>
    <row r="15" spans="1:8" x14ac:dyDescent="0.2">
      <c r="A15" s="22" t="s">
        <v>28</v>
      </c>
      <c r="B15" s="2">
        <f>MIN(Menge)</f>
        <v>168</v>
      </c>
      <c r="C15" s="3">
        <f>MIN(EKPR_je_St)</f>
        <v>0.4</v>
      </c>
      <c r="D15" s="3">
        <f>MIN(VKPR_je_St)</f>
        <v>1.25</v>
      </c>
      <c r="E15" s="3">
        <f>MIN(Einkauf_Summe)</f>
        <v>198.4</v>
      </c>
      <c r="F15" s="3">
        <f>MIN(Verkauf_Summe)</f>
        <v>277.5</v>
      </c>
      <c r="G15" s="3">
        <f>MIN(Rohgewinn)</f>
        <v>-64.38</v>
      </c>
      <c r="H15" s="3">
        <f>MIN(Handelsspanne)</f>
        <v>-23.200000000000003</v>
      </c>
    </row>
    <row r="19" spans="1:1" x14ac:dyDescent="0.2"/>
  </sheetData>
  <mergeCells count="1">
    <mergeCell ref="A1:H1"/>
  </mergeCells>
  <phoneticPr fontId="0" type="noConversion"/>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G36"/>
  <sheetViews>
    <sheetView workbookViewId="0">
      <selection activeCell="C10" sqref="C10"/>
    </sheetView>
  </sheetViews>
  <sheetFormatPr baseColWidth="10" defaultRowHeight="12.75" x14ac:dyDescent="0.2"/>
  <cols>
    <col min="1" max="3" width="11.5703125" bestFit="1" customWidth="1"/>
    <col min="4" max="4" width="11.7109375" bestFit="1" customWidth="1"/>
    <col min="5" max="5" width="11.5703125" bestFit="1" customWidth="1"/>
  </cols>
  <sheetData>
    <row r="9" spans="1:5" ht="38.25" x14ac:dyDescent="0.2">
      <c r="A9" s="17" t="s">
        <v>38</v>
      </c>
      <c r="B9" s="34" t="s">
        <v>52</v>
      </c>
      <c r="C9" s="34" t="s">
        <v>53</v>
      </c>
      <c r="D9" s="17" t="s">
        <v>45</v>
      </c>
      <c r="E9" s="17" t="s">
        <v>46</v>
      </c>
    </row>
    <row r="10" spans="1:5" x14ac:dyDescent="0.2">
      <c r="A10" s="19">
        <v>3000</v>
      </c>
      <c r="B10" s="33">
        <v>0</v>
      </c>
      <c r="C10" s="33">
        <v>15</v>
      </c>
      <c r="D10" s="18">
        <f t="shared" ref="D10:D30" si="0">Bruttogehalt*Betrieb_West</f>
        <v>0</v>
      </c>
      <c r="E10" s="18">
        <f t="shared" ref="E10:E30" si="1">Bruttogehalt*Betrieb_Ost</f>
        <v>45000</v>
      </c>
    </row>
    <row r="11" spans="1:5" x14ac:dyDescent="0.2">
      <c r="A11" s="19">
        <v>3100</v>
      </c>
      <c r="B11" s="33">
        <v>0</v>
      </c>
      <c r="C11" s="33">
        <v>16</v>
      </c>
      <c r="D11" s="18">
        <f t="shared" si="0"/>
        <v>0</v>
      </c>
      <c r="E11" s="18">
        <f t="shared" si="1"/>
        <v>49600</v>
      </c>
    </row>
    <row r="12" spans="1:5" x14ac:dyDescent="0.2">
      <c r="A12" s="19">
        <v>3200</v>
      </c>
      <c r="B12" s="33">
        <v>1</v>
      </c>
      <c r="C12" s="33">
        <v>17</v>
      </c>
      <c r="D12" s="18">
        <f t="shared" si="0"/>
        <v>3200</v>
      </c>
      <c r="E12" s="18">
        <f t="shared" si="1"/>
        <v>54400</v>
      </c>
    </row>
    <row r="13" spans="1:5" x14ac:dyDescent="0.2">
      <c r="A13" s="19">
        <v>3300</v>
      </c>
      <c r="B13" s="33">
        <v>6</v>
      </c>
      <c r="C13" s="33">
        <v>17</v>
      </c>
      <c r="D13" s="18">
        <f t="shared" si="0"/>
        <v>19800</v>
      </c>
      <c r="E13" s="18">
        <f t="shared" si="1"/>
        <v>56100</v>
      </c>
    </row>
    <row r="14" spans="1:5" x14ac:dyDescent="0.2">
      <c r="A14" s="19">
        <v>3400</v>
      </c>
      <c r="B14" s="33">
        <v>8</v>
      </c>
      <c r="C14" s="33">
        <v>21</v>
      </c>
      <c r="D14" s="18">
        <f t="shared" si="0"/>
        <v>27200</v>
      </c>
      <c r="E14" s="18">
        <f t="shared" si="1"/>
        <v>71400</v>
      </c>
    </row>
    <row r="15" spans="1:5" x14ac:dyDescent="0.2">
      <c r="A15" s="19">
        <v>3500</v>
      </c>
      <c r="B15" s="33">
        <v>10</v>
      </c>
      <c r="C15" s="33">
        <v>24</v>
      </c>
      <c r="D15" s="18">
        <f t="shared" si="0"/>
        <v>35000</v>
      </c>
      <c r="E15" s="18">
        <f t="shared" si="1"/>
        <v>84000</v>
      </c>
    </row>
    <row r="16" spans="1:5" x14ac:dyDescent="0.2">
      <c r="A16" s="19">
        <v>3600</v>
      </c>
      <c r="B16" s="33">
        <v>11</v>
      </c>
      <c r="C16" s="33">
        <v>22</v>
      </c>
      <c r="D16" s="18">
        <f t="shared" si="0"/>
        <v>39600</v>
      </c>
      <c r="E16" s="18">
        <f t="shared" si="1"/>
        <v>79200</v>
      </c>
    </row>
    <row r="17" spans="1:7" x14ac:dyDescent="0.2">
      <c r="A17" s="19">
        <v>3700</v>
      </c>
      <c r="B17" s="33">
        <v>14</v>
      </c>
      <c r="C17" s="33">
        <v>20</v>
      </c>
      <c r="D17" s="18">
        <f t="shared" si="0"/>
        <v>51800</v>
      </c>
      <c r="E17" s="18">
        <f t="shared" si="1"/>
        <v>74000</v>
      </c>
    </row>
    <row r="18" spans="1:7" x14ac:dyDescent="0.2">
      <c r="A18" s="19">
        <v>3800</v>
      </c>
      <c r="B18" s="33">
        <v>22</v>
      </c>
      <c r="C18" s="33">
        <v>16</v>
      </c>
      <c r="D18" s="18">
        <f t="shared" si="0"/>
        <v>83600</v>
      </c>
      <c r="E18" s="18">
        <f t="shared" si="1"/>
        <v>60800</v>
      </c>
    </row>
    <row r="19" spans="1:7" x14ac:dyDescent="0.2">
      <c r="A19" s="19">
        <v>3900</v>
      </c>
      <c r="B19" s="33">
        <v>46</v>
      </c>
      <c r="C19" s="33">
        <v>14</v>
      </c>
      <c r="D19" s="18">
        <f t="shared" si="0"/>
        <v>179400</v>
      </c>
      <c r="E19" s="18">
        <f t="shared" si="1"/>
        <v>54600</v>
      </c>
    </row>
    <row r="20" spans="1:7" x14ac:dyDescent="0.2">
      <c r="A20" s="19">
        <v>4000</v>
      </c>
      <c r="B20" s="33">
        <v>52</v>
      </c>
      <c r="C20" s="33">
        <v>8</v>
      </c>
      <c r="D20" s="18">
        <f t="shared" si="0"/>
        <v>208000</v>
      </c>
      <c r="E20" s="18">
        <f t="shared" si="1"/>
        <v>32000</v>
      </c>
    </row>
    <row r="21" spans="1:7" x14ac:dyDescent="0.2">
      <c r="A21" s="19">
        <v>4100</v>
      </c>
      <c r="B21" s="33">
        <v>48</v>
      </c>
      <c r="C21" s="33">
        <v>8</v>
      </c>
      <c r="D21" s="18">
        <f t="shared" si="0"/>
        <v>196800</v>
      </c>
      <c r="E21" s="18">
        <f t="shared" si="1"/>
        <v>32800</v>
      </c>
    </row>
    <row r="22" spans="1:7" x14ac:dyDescent="0.2">
      <c r="A22" s="19">
        <v>4200</v>
      </c>
      <c r="B22" s="33">
        <v>37</v>
      </c>
      <c r="C22" s="33">
        <v>5</v>
      </c>
      <c r="D22" s="18">
        <f t="shared" si="0"/>
        <v>155400</v>
      </c>
      <c r="E22" s="18">
        <f t="shared" si="1"/>
        <v>21000</v>
      </c>
    </row>
    <row r="23" spans="1:7" x14ac:dyDescent="0.2">
      <c r="A23" s="19">
        <v>4300</v>
      </c>
      <c r="B23" s="33">
        <v>30</v>
      </c>
      <c r="C23" s="33">
        <v>4</v>
      </c>
      <c r="D23" s="18">
        <f t="shared" si="0"/>
        <v>129000</v>
      </c>
      <c r="E23" s="18">
        <f t="shared" si="1"/>
        <v>17200</v>
      </c>
    </row>
    <row r="24" spans="1:7" x14ac:dyDescent="0.2">
      <c r="A24" s="19">
        <v>4400</v>
      </c>
      <c r="B24" s="33">
        <v>26</v>
      </c>
      <c r="C24" s="33">
        <v>2</v>
      </c>
      <c r="D24" s="18">
        <f t="shared" si="0"/>
        <v>114400</v>
      </c>
      <c r="E24" s="18">
        <f t="shared" si="1"/>
        <v>8800</v>
      </c>
    </row>
    <row r="25" spans="1:7" x14ac:dyDescent="0.2">
      <c r="A25" s="19">
        <v>4500</v>
      </c>
      <c r="B25" s="33">
        <v>18</v>
      </c>
      <c r="C25" s="33">
        <v>1</v>
      </c>
      <c r="D25" s="18">
        <f t="shared" si="0"/>
        <v>81000</v>
      </c>
      <c r="E25" s="18">
        <f t="shared" si="1"/>
        <v>4500</v>
      </c>
    </row>
    <row r="26" spans="1:7" x14ac:dyDescent="0.2">
      <c r="A26" s="19">
        <v>4600</v>
      </c>
      <c r="B26" s="33">
        <v>14</v>
      </c>
      <c r="C26" s="33">
        <v>0</v>
      </c>
      <c r="D26" s="18">
        <f t="shared" si="0"/>
        <v>64400</v>
      </c>
      <c r="E26" s="18">
        <f t="shared" si="1"/>
        <v>0</v>
      </c>
    </row>
    <row r="27" spans="1:7" x14ac:dyDescent="0.2">
      <c r="A27" s="19">
        <v>4700</v>
      </c>
      <c r="B27" s="33">
        <v>8</v>
      </c>
      <c r="C27" s="33">
        <v>0</v>
      </c>
      <c r="D27" s="18">
        <f t="shared" si="0"/>
        <v>37600</v>
      </c>
      <c r="E27" s="18">
        <f t="shared" si="1"/>
        <v>0</v>
      </c>
    </row>
    <row r="28" spans="1:7" x14ac:dyDescent="0.2">
      <c r="A28" s="19">
        <v>4800</v>
      </c>
      <c r="B28" s="33">
        <v>7</v>
      </c>
      <c r="C28" s="33">
        <v>0</v>
      </c>
      <c r="D28" s="18">
        <f t="shared" si="0"/>
        <v>33600</v>
      </c>
      <c r="E28" s="18">
        <f t="shared" si="1"/>
        <v>0</v>
      </c>
    </row>
    <row r="29" spans="1:7" x14ac:dyDescent="0.2">
      <c r="A29" s="19">
        <v>4900</v>
      </c>
      <c r="B29" s="33">
        <v>6</v>
      </c>
      <c r="C29" s="33">
        <v>0</v>
      </c>
      <c r="D29" s="18">
        <f t="shared" si="0"/>
        <v>29400</v>
      </c>
      <c r="E29" s="18">
        <f t="shared" si="1"/>
        <v>0</v>
      </c>
    </row>
    <row r="30" spans="1:7" x14ac:dyDescent="0.2">
      <c r="A30" s="19">
        <v>5000</v>
      </c>
      <c r="B30" s="33">
        <v>2</v>
      </c>
      <c r="C30" s="33">
        <v>0</v>
      </c>
      <c r="D30" s="18">
        <f t="shared" si="0"/>
        <v>10000</v>
      </c>
      <c r="E30" s="18">
        <f t="shared" si="1"/>
        <v>0</v>
      </c>
      <c r="G30" s="18"/>
    </row>
    <row r="31" spans="1:7" x14ac:dyDescent="0.2">
      <c r="A31" s="11" t="s">
        <v>42</v>
      </c>
      <c r="B31" s="11"/>
      <c r="C31" s="11"/>
      <c r="D31" s="12">
        <f>AVERAGE(D10:D30)</f>
        <v>71390.476190476184</v>
      </c>
      <c r="E31" s="12">
        <f>AVERAGE(E10:E30)</f>
        <v>35495.238095238092</v>
      </c>
      <c r="G31" s="1">
        <f>D31+E31</f>
        <v>106885.71428571428</v>
      </c>
    </row>
    <row r="32" spans="1:7" x14ac:dyDescent="0.2">
      <c r="G32">
        <f>G31/2</f>
        <v>53442.857142857138</v>
      </c>
    </row>
    <row r="33" spans="1:5" x14ac:dyDescent="0.2">
      <c r="A33" t="s">
        <v>47</v>
      </c>
      <c r="E33" s="18">
        <f>AVERAGE(D10:E30)</f>
        <v>53442.857142857145</v>
      </c>
    </row>
    <row r="36" spans="1:5" x14ac:dyDescent="0.2"/>
  </sheetData>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12</vt:i4>
      </vt:variant>
    </vt:vector>
  </HeadingPairs>
  <TitlesOfParts>
    <vt:vector size="16" baseType="lpstr">
      <vt:lpstr>Fax</vt:lpstr>
      <vt:lpstr>Telefon</vt:lpstr>
      <vt:lpstr>Nudeln</vt:lpstr>
      <vt:lpstr>Mittelwert</vt:lpstr>
      <vt:lpstr>Betrieb_Ost</vt:lpstr>
      <vt:lpstr>Betrieb_West</vt:lpstr>
      <vt:lpstr>Bruttogehalt</vt:lpstr>
      <vt:lpstr>Einkauf_Summe</vt:lpstr>
      <vt:lpstr>EKPR_je_St</vt:lpstr>
      <vt:lpstr>Handelsspanne</vt:lpstr>
      <vt:lpstr>Lohnsumme__Ost</vt:lpstr>
      <vt:lpstr>Lohnsumme_West</vt:lpstr>
      <vt:lpstr>Menge</vt:lpstr>
      <vt:lpstr>Rohgewinn</vt:lpstr>
      <vt:lpstr>Verkauf_Summe</vt:lpstr>
      <vt:lpstr>VKPR_je_St</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dcterms:created xsi:type="dcterms:W3CDTF">2000-12-03T19:24:34Z</dcterms:created>
  <dcterms:modified xsi:type="dcterms:W3CDTF">2022-01-20T16:04:33Z</dcterms:modified>
</cp:coreProperties>
</file>